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d06bbe7f037fd4/Pleasley Parish Council/Audit 24-25/AGAR 2024_25/"/>
    </mc:Choice>
  </mc:AlternateContent>
  <xr:revisionPtr revIDLastSave="5" documentId="8_{07D8E9B7-D9DB-45B8-8815-C039FA932890}" xr6:coauthVersionLast="47" xr6:coauthVersionMax="47" xr10:uidLastSave="{4240395A-75E7-4A5F-B208-DB378044144C}"/>
  <bookViews>
    <workbookView xWindow="-120" yWindow="-120" windowWidth="29040" windowHeight="15720" xr2:uid="{00000000-000D-0000-FFFF-FFFF00000000}"/>
  </bookViews>
  <sheets>
    <sheet name="Variances" sheetId="1" r:id="rId1"/>
    <sheet name="Reserves" sheetId="2" r:id="rId2"/>
    <sheet name="Box 2 Variance" sheetId="6" r:id="rId3"/>
    <sheet name="Box 3 Variance" sheetId="4" r:id="rId4"/>
    <sheet name="Box 6 Varience" sheetId="8" r:id="rId5"/>
  </sheets>
  <definedNames>
    <definedName name="_xlnm.Print_Area" localSheetId="0">Variances!$A$1:$N$34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8" l="1"/>
  <c r="D8" i="4"/>
  <c r="F2" i="4"/>
  <c r="D18" i="6"/>
  <c r="H18" i="6" s="1"/>
  <c r="D13" i="6"/>
  <c r="D29" i="6" l="1"/>
  <c r="C39" i="6" l="1"/>
  <c r="C35" i="6"/>
  <c r="C31" i="6"/>
  <c r="C38" i="6"/>
  <c r="C37" i="6"/>
  <c r="C33" i="6"/>
  <c r="C34" i="6"/>
  <c r="C36" i="6"/>
  <c r="C32" i="6"/>
  <c r="F3" i="6" l="1"/>
  <c r="F15" i="4" l="1"/>
  <c r="G19" i="4"/>
  <c r="M24" i="1" l="1"/>
  <c r="M11" i="1"/>
  <c r="E14" i="2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K30" i="1"/>
  <c r="H28" i="1"/>
  <c r="H21" i="1"/>
  <c r="H19" i="1"/>
  <c r="K19" i="1"/>
  <c r="H17" i="1"/>
  <c r="H15" i="1"/>
  <c r="H13" i="1"/>
  <c r="K13" i="1" s="1"/>
  <c r="L30" i="1"/>
  <c r="M30" i="1"/>
  <c r="L19" i="1"/>
  <c r="M19" i="1"/>
  <c r="L24" i="1"/>
  <c r="L28" i="1" l="1"/>
  <c r="M28" i="1" s="1"/>
  <c r="L17" i="1"/>
  <c r="M17" i="1" s="1"/>
  <c r="L15" i="1"/>
  <c r="M15" i="1" s="1"/>
  <c r="G2" i="4"/>
  <c r="K28" i="1"/>
  <c r="L13" i="1"/>
  <c r="M13" i="1" s="1"/>
  <c r="L21" i="1"/>
  <c r="M21" i="1" s="1"/>
  <c r="K17" i="1"/>
  <c r="K15" i="1"/>
  <c r="K21" i="1"/>
  <c r="F11" i="8" l="1"/>
</calcChain>
</file>

<file path=xl/sharedStrings.xml><?xml version="1.0" encoding="utf-8"?>
<sst xmlns="http://schemas.openxmlformats.org/spreadsheetml/2006/main" count="116" uniqueCount="93">
  <si>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</si>
  <si>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</si>
  <si>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</si>
  <si>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</si>
  <si>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</si>
  <si>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</si>
  <si>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</si>
  <si>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</si>
  <si>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</si>
  <si>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</si>
  <si>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</si>
  <si>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</si>
  <si>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</si>
  <si>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</si>
  <si>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</si>
  <si>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</si>
  <si>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</si>
  <si>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</si>
  <si>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</si>
  <si>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</si>
  <si>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</si>
  <si>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</si>
  <si>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</si>
  <si>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</si>
  <si>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</si>
  <si>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Explanation for ‘high’ reserves</t>
  </si>
  <si>
    <t>(Please complete the highlighted boxes.)</t>
  </si>
  <si>
    <t>Box 7 is more than twice Box 2 because the authority held the following breakdown of reserves at the year end:</t>
  </si>
  <si>
    <t>Earmarked reserves:</t>
  </si>
  <si>
    <t>building socieity savings</t>
  </si>
  <si>
    <t>General reserve</t>
  </si>
  <si>
    <t>Total reserves (must agree to Box 7)</t>
  </si>
  <si>
    <t>2023/24</t>
  </si>
  <si>
    <t>Box 3  variance -OTHER RECEIPTS</t>
  </si>
  <si>
    <t>PLEASLEY PARISH COUN</t>
  </si>
  <si>
    <t>expenditure</t>
  </si>
  <si>
    <t>BOX 6</t>
  </si>
  <si>
    <t>Difference</t>
  </si>
  <si>
    <t>BOX 2</t>
  </si>
  <si>
    <t>INCREASE IN PRECEPT REQUESTED BY LOCAL AUTHORITY</t>
  </si>
  <si>
    <t>Parish Element 15% Increase</t>
  </si>
  <si>
    <t>Parish</t>
  </si>
  <si>
    <t>Expenditure Precept</t>
  </si>
  <si>
    <t xml:space="preserve">Taxbase </t>
  </si>
  <si>
    <t>Band D</t>
  </si>
  <si>
    <t>Pleasley</t>
  </si>
  <si>
    <t>2024/25</t>
  </si>
  <si>
    <t>Check 23/24</t>
  </si>
  <si>
    <t>Parish Element % Increase</t>
  </si>
  <si>
    <t xml:space="preserve">Change the precept figure to show the % movement </t>
  </si>
  <si>
    <t>Notes</t>
  </si>
  <si>
    <t>The expenditure precept divided by the tax base will give the band D equivalent charge. All other bands are calculated</t>
  </si>
  <si>
    <t>from this on a proportional basis.</t>
  </si>
  <si>
    <t>The percentage increase is displayed on the council tax bills, this is where residents look!</t>
  </si>
  <si>
    <t>Parish Charge</t>
  </si>
  <si>
    <t>(Band D)</t>
  </si>
  <si>
    <t xml:space="preserve">Band </t>
  </si>
  <si>
    <t>A-</t>
  </si>
  <si>
    <t>A</t>
  </si>
  <si>
    <t>B</t>
  </si>
  <si>
    <t>C</t>
  </si>
  <si>
    <t>D</t>
  </si>
  <si>
    <t>E</t>
  </si>
  <si>
    <t>F</t>
  </si>
  <si>
    <t>G</t>
  </si>
  <si>
    <t>H</t>
  </si>
  <si>
    <t>BAC</t>
  </si>
  <si>
    <t>Box =3 variances - INCOME</t>
  </si>
  <si>
    <t>Additional costs in 2024/25</t>
  </si>
  <si>
    <t>difference</t>
  </si>
  <si>
    <t>Additional Cash Income</t>
  </si>
  <si>
    <t>Verney Community Centre New Drama Group Booking for 3 hours per week plus additional drama club holiday club bookings</t>
  </si>
  <si>
    <t>From June 2024 - March 25 New Monthly Fees for Tennents of Dale End Grazing Land for 3 plots (new additional plot created) plots either £75 or £100 a month for 3 tennants)</t>
  </si>
  <si>
    <t>June 24 - March 25</t>
  </si>
  <si>
    <t>May 24 - March 25</t>
  </si>
  <si>
    <t>National Lottery Grant received for Verney Refurbishment Works carried out by M2 Construction Summer 24</t>
  </si>
  <si>
    <t>DERBYSHIRE COUNTY Payment towards purchase of Community Speed Watch Equipment</t>
  </si>
  <si>
    <t>DPC</t>
  </si>
  <si>
    <t>VAULT , TW 1921 , VIA MOBILE - PYMT , FP 15/06/24 10 , 42173343805467000R</t>
  </si>
  <si>
    <t>VAULT , TW 2306 , VIA MOBILE - PYMT , FP 08/02/25 10 , 03131204793883000R</t>
  </si>
  <si>
    <t>VAULT , TW 2307 , VIA MOBILE - PYMT , FP 08/02/25 10 , 15131236318698000R</t>
  </si>
  <si>
    <t>VAULT , TW 2306 
Alarm Supply &amp; Install at New Houghton Community Centre</t>
  </si>
  <si>
    <t>VAULT Electronic Secrurity Invoice TW 2307 
Alarm Supply &amp; Install at The Verney Institute
Repairs and Renewals (7800)</t>
  </si>
  <si>
    <t>VAULT Electronic Security Ltd Invoice  TW 1921  CCTV COSTS - supply &amp; install decoy CCTV Column as quotation QCCTV 022 0116 at Terrace Lane Rec</t>
  </si>
  <si>
    <t>National Lottery Grant Contracted to M2 Construction Ltd</t>
  </si>
  <si>
    <t>Verney Refurbishment Works carried out by M2 Construction Ltd during Summer 24</t>
  </si>
  <si>
    <t xml:space="preserve">     </t>
  </si>
  <si>
    <t>Additional grant of £20,000, additional income and donation - see box 3 figures</t>
  </si>
  <si>
    <t>Expenditure including use of Grant for building refurbishments and expenditure due to implemented of CCTV in parish - see box 6 figures</t>
  </si>
  <si>
    <t>Reserve accounts interest</t>
  </si>
  <si>
    <t>15% precept increase - see box 2 figures</t>
  </si>
  <si>
    <t>Additional income  2024/25</t>
  </si>
  <si>
    <t>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</si>
</sst>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70C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3" tint="0.39997558519241921"/>
      <name val="Segoe UI"/>
      <family val="2"/>
    </font>
    <font>
      <b/>
      <sz val="10"/>
      <name val="Segoe UI"/>
      <family val="2"/>
    </font>
    <font>
      <sz val="10"/>
      <color rgb="FFFF0000"/>
      <name val="Segoe UI"/>
      <family val="2"/>
    </font>
    <font>
      <sz val="10"/>
      <color rgb="FF00B050"/>
      <name val="Segoe UI"/>
      <family val="2"/>
    </font>
    <font>
      <b/>
      <sz val="10"/>
      <color theme="3" tint="0.39997558519241921"/>
      <name val="Segoe UI"/>
      <family val="2"/>
    </font>
    <font>
      <u/>
      <sz val="10"/>
      <color theme="1"/>
      <name val="Segoe U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Alignment="1">
      <alignment vertical="center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164" fontId="18" fillId="0" borderId="0" xfId="0" applyNumberFormat="1" applyFont="1"/>
    <xf numFmtId="0" fontId="11" fillId="0" borderId="0" xfId="0" applyFont="1" applyAlignment="1">
      <alignment horizontal="left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3" fontId="20" fillId="0" borderId="0" xfId="0" applyNumberFormat="1" applyFont="1"/>
    <xf numFmtId="3" fontId="3" fillId="9" borderId="1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/>
    <xf numFmtId="44" fontId="0" fillId="0" borderId="0" xfId="0" applyNumberFormat="1" applyAlignment="1">
      <alignment wrapText="1"/>
    </xf>
    <xf numFmtId="164" fontId="18" fillId="10" borderId="0" xfId="0" applyNumberFormat="1" applyFont="1" applyFill="1"/>
    <xf numFmtId="3" fontId="10" fillId="0" borderId="0" xfId="0" applyNumberFormat="1" applyFont="1"/>
    <xf numFmtId="0" fontId="0" fillId="0" borderId="0" xfId="0" applyAlignment="1">
      <alignment wrapText="1"/>
    </xf>
    <xf numFmtId="164" fontId="18" fillId="10" borderId="0" xfId="0" applyNumberFormat="1" applyFont="1" applyFill="1" applyAlignment="1">
      <alignment wrapText="1"/>
    </xf>
    <xf numFmtId="0" fontId="0" fillId="0" borderId="0" xfId="0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quotePrefix="1" applyFont="1"/>
    <xf numFmtId="0" fontId="28" fillId="11" borderId="2" xfId="0" applyFont="1" applyFill="1" applyBorder="1" applyAlignment="1">
      <alignment horizontal="center" vertical="center"/>
    </xf>
    <xf numFmtId="0" fontId="28" fillId="11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6" xfId="0" applyFont="1" applyBorder="1"/>
    <xf numFmtId="165" fontId="28" fillId="0" borderId="6" xfId="0" applyNumberFormat="1" applyFont="1" applyBorder="1"/>
    <xf numFmtId="43" fontId="28" fillId="0" borderId="6" xfId="0" applyNumberFormat="1" applyFont="1" applyBorder="1"/>
    <xf numFmtId="4" fontId="28" fillId="0" borderId="6" xfId="0" applyNumberFormat="1" applyFont="1" applyBorder="1"/>
    <xf numFmtId="0" fontId="30" fillId="0" borderId="7" xfId="0" applyFont="1" applyBorder="1"/>
    <xf numFmtId="165" fontId="28" fillId="0" borderId="7" xfId="0" applyNumberFormat="1" applyFont="1" applyBorder="1"/>
    <xf numFmtId="43" fontId="28" fillId="0" borderId="7" xfId="0" applyNumberFormat="1" applyFont="1" applyBorder="1"/>
    <xf numFmtId="4" fontId="28" fillId="0" borderId="7" xfId="0" applyNumberFormat="1" applyFont="1" applyBorder="1"/>
    <xf numFmtId="0" fontId="29" fillId="0" borderId="0" xfId="0" applyFont="1"/>
    <xf numFmtId="4" fontId="29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165" fontId="31" fillId="0" borderId="7" xfId="0" applyNumberFormat="1" applyFont="1" applyBorder="1"/>
    <xf numFmtId="4" fontId="32" fillId="0" borderId="7" xfId="0" applyNumberFormat="1" applyFont="1" applyBorder="1"/>
    <xf numFmtId="4" fontId="33" fillId="0" borderId="0" xfId="0" applyNumberFormat="1" applyFont="1" applyAlignment="1">
      <alignment horizontal="center"/>
    </xf>
    <xf numFmtId="0" fontId="31" fillId="0" borderId="0" xfId="0" applyFont="1"/>
    <xf numFmtId="0" fontId="34" fillId="0" borderId="0" xfId="0" applyFont="1"/>
    <xf numFmtId="4" fontId="32" fillId="0" borderId="0" xfId="0" applyNumberFormat="1" applyFont="1"/>
    <xf numFmtId="0" fontId="26" fillId="0" borderId="0" xfId="0" applyFont="1" applyAlignment="1">
      <alignment horizontal="right"/>
    </xf>
    <xf numFmtId="4" fontId="26" fillId="0" borderId="0" xfId="0" applyNumberFormat="1" applyFont="1"/>
    <xf numFmtId="4" fontId="23" fillId="0" borderId="0" xfId="0" applyNumberFormat="1" applyFont="1" applyAlignment="1">
      <alignment wrapText="1"/>
    </xf>
    <xf numFmtId="49" fontId="23" fillId="0" borderId="0" xfId="0" applyNumberFormat="1" applyFont="1" applyAlignment="1">
      <alignment wrapText="1"/>
    </xf>
    <xf numFmtId="49" fontId="20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2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center" wrapText="1"/>
    </xf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15" fontId="20" fillId="0" borderId="0" xfId="0" applyNumberFormat="1" applyFont="1" applyAlignment="1">
      <alignment horizontal="right"/>
    </xf>
    <xf numFmtId="15" fontId="22" fillId="0" borderId="0" xfId="0" applyNumberFormat="1" applyFont="1" applyAlignment="1">
      <alignment horizontal="right"/>
    </xf>
    <xf numFmtId="4" fontId="19" fillId="0" borderId="0" xfId="0" applyNumberFormat="1" applyFont="1" applyAlignment="1">
      <alignment wrapText="1"/>
    </xf>
    <xf numFmtId="0" fontId="23" fillId="0" borderId="0" xfId="0" applyFont="1" applyAlignment="1">
      <alignment horizontal="right" wrapText="1"/>
    </xf>
    <xf numFmtId="164" fontId="18" fillId="10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164" fontId="3" fillId="3" borderId="1" xfId="0" applyNumberFormat="1" applyFont="1" applyFill="1" applyBorder="1" applyAlignment="1" applyProtection="1">
      <alignment horizontal="right" wrapText="1"/>
      <protection locked="0"/>
    </xf>
    <xf numFmtId="164" fontId="11" fillId="0" borderId="0" xfId="0" applyNumberFormat="1" applyFont="1" applyAlignment="1">
      <alignment horizontal="right"/>
    </xf>
    <xf numFmtId="164" fontId="3" fillId="3" borderId="1" xfId="0" applyNumberFormat="1" applyFont="1" applyFill="1" applyBorder="1" applyAlignment="1" applyProtection="1">
      <alignment horizontal="right"/>
      <protection locked="0"/>
    </xf>
    <xf numFmtId="164" fontId="18" fillId="0" borderId="0" xfId="0" applyNumberFormat="1" applyFont="1" applyAlignment="1">
      <alignment horizontal="right"/>
    </xf>
    <xf numFmtId="164" fontId="20" fillId="0" borderId="0" xfId="0" applyNumberFormat="1" applyFont="1"/>
    <xf numFmtId="164" fontId="23" fillId="0" borderId="0" xfId="0" applyNumberFormat="1" applyFont="1" applyAlignment="1">
      <alignment horizontal="right"/>
    </xf>
    <xf numFmtId="15" fontId="23" fillId="0" borderId="0" xfId="0" applyNumberFormat="1" applyFont="1" applyAlignment="1">
      <alignment horizontal="center"/>
    </xf>
    <xf numFmtId="15" fontId="23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right" wrapText="1"/>
    </xf>
    <xf numFmtId="164" fontId="20" fillId="0" borderId="0" xfId="0" applyNumberFormat="1" applyFont="1" applyAlignment="1">
      <alignment horizontal="right"/>
    </xf>
    <xf numFmtId="15" fontId="23" fillId="0" borderId="0" xfId="0" applyNumberFormat="1" applyFont="1"/>
    <xf numFmtId="9" fontId="23" fillId="0" borderId="0" xfId="0" applyNumberFormat="1" applyFont="1" applyAlignment="1">
      <alignment horizontal="right"/>
    </xf>
    <xf numFmtId="9" fontId="23" fillId="0" borderId="0" xfId="0" applyNumberFormat="1" applyFont="1" applyAlignment="1">
      <alignment horizontal="right" wrapText="1"/>
    </xf>
    <xf numFmtId="0" fontId="35" fillId="0" borderId="0" xfId="0" applyFont="1"/>
    <xf numFmtId="4" fontId="35" fillId="0" borderId="0" xfId="0" applyNumberFormat="1" applyFont="1"/>
    <xf numFmtId="164" fontId="0" fillId="0" borderId="0" xfId="0" applyNumberFormat="1"/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118" zoomScaleNormal="118" workbookViewId="0">
      <selection activeCell="F9" sqref="F9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16" style="3" customWidth="1"/>
    <col min="5" max="5" width="3.28515625" style="3" customWidth="1"/>
    <col min="6" max="6" width="13.85546875" style="3" customWidth="1"/>
    <col min="7" max="7" width="13.425781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50.42578125" style="11" bestFit="1" customWidth="1"/>
    <col min="14" max="14" width="86" style="3" bestFit="1" customWidth="1"/>
    <col min="15" max="16384" width="9.140625" style="3"/>
  </cols>
  <sheetData>
    <row r="1" spans="1:14" ht="18" x14ac:dyDescent="0.2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8"/>
    </row>
    <row r="2" spans="1:14" ht="15.75" x14ac:dyDescent="0.2">
      <c r="A2" s="20" t="s">
        <v>1</v>
      </c>
      <c r="B2" s="33"/>
      <c r="C2" s="28"/>
      <c r="D2" s="33"/>
      <c r="E2" s="33"/>
      <c r="F2" s="33"/>
      <c r="G2" s="33"/>
      <c r="H2" s="33"/>
      <c r="I2" s="33"/>
      <c r="J2" s="33"/>
      <c r="K2" s="33"/>
      <c r="L2" s="8"/>
    </row>
    <row r="3" spans="1:14" ht="14.25" customHeight="1" x14ac:dyDescent="0.2">
      <c r="A3" s="20" t="s">
        <v>2</v>
      </c>
      <c r="C3" s="27"/>
      <c r="L3" s="8"/>
    </row>
    <row r="4" spans="1:14" x14ac:dyDescent="0.2">
      <c r="A4" s="1" t="s">
        <v>3</v>
      </c>
    </row>
    <row r="5" spans="1:14" ht="99" customHeight="1" x14ac:dyDescent="0.2">
      <c r="A5" s="113" t="s">
        <v>4</v>
      </c>
      <c r="B5" s="114"/>
      <c r="C5" s="114"/>
      <c r="D5" s="114"/>
      <c r="E5" s="114"/>
      <c r="F5" s="114"/>
      <c r="G5" s="114"/>
      <c r="H5" s="114"/>
    </row>
    <row r="6" spans="1:14" x14ac:dyDescent="0.2">
      <c r="A6" s="21"/>
    </row>
    <row r="7" spans="1:14" ht="15" x14ac:dyDescent="0.25">
      <c r="A7" s="21"/>
      <c r="D7" s="4"/>
      <c r="F7" s="4"/>
      <c r="N7" s="19"/>
    </row>
    <row r="8" spans="1:14" ht="30" x14ac:dyDescent="0.25">
      <c r="D8" s="29" t="s">
        <v>32</v>
      </c>
      <c r="E8" s="19"/>
      <c r="F8" s="29" t="s">
        <v>46</v>
      </c>
      <c r="G8" s="29" t="s">
        <v>5</v>
      </c>
      <c r="H8" s="29" t="s">
        <v>5</v>
      </c>
      <c r="I8" s="29"/>
      <c r="J8" s="29"/>
      <c r="K8" s="29"/>
      <c r="L8" s="30" t="s">
        <v>6</v>
      </c>
      <c r="M8" s="9" t="s">
        <v>7</v>
      </c>
      <c r="N8" s="31" t="s">
        <v>8</v>
      </c>
    </row>
    <row r="9" spans="1:14" ht="15" x14ac:dyDescent="0.25">
      <c r="D9" s="29" t="s">
        <v>9</v>
      </c>
      <c r="E9" s="19"/>
      <c r="F9" s="29" t="s">
        <v>9</v>
      </c>
      <c r="G9" s="29" t="s">
        <v>9</v>
      </c>
      <c r="H9" s="29" t="s">
        <v>10</v>
      </c>
      <c r="I9" s="29"/>
      <c r="J9" s="29"/>
      <c r="K9" s="19"/>
      <c r="L9" s="19"/>
      <c r="N9" s="11"/>
    </row>
    <row r="10" spans="1:14" ht="15" thickBot="1" x14ac:dyDescent="0.25">
      <c r="D10" s="4"/>
      <c r="E10" s="4"/>
      <c r="N10" s="11"/>
    </row>
    <row r="11" spans="1:14" ht="44.25" customHeight="1" thickBot="1" x14ac:dyDescent="0.25">
      <c r="A11" s="117" t="s">
        <v>11</v>
      </c>
      <c r="B11" s="117"/>
      <c r="C11" s="117"/>
      <c r="D11" s="7">
        <v>23877</v>
      </c>
      <c r="F11" s="7">
        <v>11694</v>
      </c>
      <c r="G11" s="5"/>
      <c r="M11" s="9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2"/>
    </row>
    <row r="12" spans="1:14" ht="15" thickBot="1" x14ac:dyDescent="0.25">
      <c r="D12" s="5"/>
      <c r="F12" s="5"/>
      <c r="N12" s="11"/>
    </row>
    <row r="13" spans="1:14" ht="31.5" customHeight="1" thickBot="1" x14ac:dyDescent="0.25">
      <c r="A13" s="118" t="s">
        <v>12</v>
      </c>
      <c r="B13" s="119"/>
      <c r="C13" s="120"/>
      <c r="D13" s="7">
        <v>82810</v>
      </c>
      <c r="F13" s="7">
        <v>95580</v>
      </c>
      <c r="G13" s="5">
        <f>F13-D13</f>
        <v>12770</v>
      </c>
      <c r="H13" s="6">
        <f>IF((D13&gt;F13),(D13-F13)/D13,IF(D13&lt;F13,-(D13-F13)/D13,IF(D13=F13,0)))</f>
        <v>0.15420842893370365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1</v>
      </c>
      <c r="L13" s="4" t="str">
        <f>IF((H13&lt;15%)*AND(G13&lt;100000)*OR(G13&gt;-100000), "NO","YES")</f>
        <v>YES</v>
      </c>
      <c r="M13" s="9" t="str">
        <f>IF((L13="YES")*AND(I13+J13&lt;1),"Explanation not required, difference less than £200"," ")</f>
        <v xml:space="preserve"> </v>
      </c>
      <c r="N13" s="12" t="s">
        <v>90</v>
      </c>
    </row>
    <row r="14" spans="1:14" ht="15" thickBot="1" x14ac:dyDescent="0.25">
      <c r="D14" s="5"/>
      <c r="F14" s="5"/>
      <c r="G14" s="5"/>
      <c r="H14" s="6"/>
      <c r="K14" s="4"/>
      <c r="L14" s="4"/>
      <c r="N14" s="11"/>
    </row>
    <row r="15" spans="1:14" ht="20.100000000000001" customHeight="1" thickBot="1" x14ac:dyDescent="0.25">
      <c r="A15" s="115" t="s">
        <v>13</v>
      </c>
      <c r="B15" s="115"/>
      <c r="C15" s="115"/>
      <c r="D15" s="7">
        <v>22792</v>
      </c>
      <c r="F15" s="7">
        <v>46645</v>
      </c>
      <c r="G15" s="5">
        <f>F15-D15</f>
        <v>23853</v>
      </c>
      <c r="H15" s="6">
        <f>IF((D15&gt;F15),(D15-F15)/D15,IF(D15&lt;F15,-(D15-F15)/D15,IF(D15=F15,0)))</f>
        <v>1.0465514215514216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9" t="str">
        <f>IF((L15="YES")*AND(I15+J15&lt;1),"Explanation not required, difference less than £200"," ")</f>
        <v xml:space="preserve"> </v>
      </c>
      <c r="N15" s="12" t="s">
        <v>87</v>
      </c>
    </row>
    <row r="16" spans="1:14" ht="15" thickBot="1" x14ac:dyDescent="0.25">
      <c r="D16" s="5"/>
      <c r="F16" s="5"/>
      <c r="G16" s="5"/>
      <c r="H16" s="6"/>
      <c r="K16" s="4"/>
      <c r="L16" s="4"/>
      <c r="N16" s="11"/>
    </row>
    <row r="17" spans="1:14" ht="20.100000000000001" customHeight="1" thickBot="1" x14ac:dyDescent="0.25">
      <c r="A17" s="115" t="s">
        <v>14</v>
      </c>
      <c r="B17" s="115"/>
      <c r="C17" s="115"/>
      <c r="D17" s="7">
        <v>50298</v>
      </c>
      <c r="F17" s="7">
        <v>54580</v>
      </c>
      <c r="G17" s="5">
        <f>F17-D17</f>
        <v>4282</v>
      </c>
      <c r="H17" s="6">
        <f>IF((D17&gt;F17),(D17-F17)/D17,IF(D17&lt;F17,-(D17-F17)/D17,IF(D17=F17,0)))</f>
        <v>8.5132609646506818E-2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0</v>
      </c>
      <c r="L17" s="4" t="str">
        <f>IF((H17&lt;15%)*AND(G17&lt;100000)*OR(G17&gt;-100000), "NO","YES")</f>
        <v>NO</v>
      </c>
      <c r="M17" s="9" t="str">
        <f>IF((L17="YES")*AND(I17+J17&lt;1),"Explanation not required, difference less than £200"," ")</f>
        <v xml:space="preserve"> </v>
      </c>
      <c r="N17" s="12"/>
    </row>
    <row r="18" spans="1:14" ht="15" thickBot="1" x14ac:dyDescent="0.25">
      <c r="D18" s="5"/>
      <c r="F18" s="5"/>
      <c r="G18" s="5"/>
      <c r="H18" s="6"/>
      <c r="K18" s="4"/>
      <c r="L18" s="4"/>
      <c r="N18" s="11"/>
    </row>
    <row r="19" spans="1:14" ht="20.100000000000001" customHeight="1" thickBot="1" x14ac:dyDescent="0.25">
      <c r="A19" s="115" t="s">
        <v>15</v>
      </c>
      <c r="B19" s="115"/>
      <c r="C19" s="115"/>
      <c r="D19" s="7">
        <v>0</v>
      </c>
      <c r="F19" s="7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9" t="str">
        <f>IF((L19="YES")*AND(I19+J19&lt;1),"Explanation not required, difference less than £200"," ")</f>
        <v xml:space="preserve"> </v>
      </c>
      <c r="N19" s="12"/>
    </row>
    <row r="20" spans="1:14" ht="15" thickBot="1" x14ac:dyDescent="0.25">
      <c r="D20" s="5"/>
      <c r="F20" s="5"/>
      <c r="G20" s="5"/>
      <c r="H20" s="6"/>
      <c r="K20" s="4"/>
      <c r="L20" s="4"/>
      <c r="N20" s="11"/>
    </row>
    <row r="21" spans="1:14" ht="36.75" customHeight="1" thickBot="1" x14ac:dyDescent="0.25">
      <c r="A21" s="115" t="s">
        <v>16</v>
      </c>
      <c r="B21" s="115"/>
      <c r="C21" s="115"/>
      <c r="D21" s="7">
        <v>67486</v>
      </c>
      <c r="F21" s="7">
        <v>92731</v>
      </c>
      <c r="G21" s="5">
        <f>F21-D21</f>
        <v>25245</v>
      </c>
      <c r="H21" s="6">
        <f>IF((D21&gt;F21),(D21-F21)/D21,IF(D21&lt;F21,-(D21-F21)/D21,IF(D21=F21,0)))</f>
        <v>0.37407758646237738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9" t="str">
        <f>IF((L21="YES")*AND(I21+J21&lt;1),"Explanation not required, difference less than £200"," ")</f>
        <v xml:space="preserve"> </v>
      </c>
      <c r="N21" s="12" t="s">
        <v>88</v>
      </c>
    </row>
    <row r="22" spans="1:14" ht="15" thickBot="1" x14ac:dyDescent="0.25">
      <c r="D22" s="5"/>
      <c r="F22" s="5"/>
      <c r="G22" s="5"/>
      <c r="H22" s="6"/>
      <c r="K22" s="4"/>
      <c r="L22" s="4"/>
      <c r="N22" s="11"/>
    </row>
    <row r="23" spans="1:14" ht="20.100000000000001" customHeight="1" thickBot="1" x14ac:dyDescent="0.25">
      <c r="A23" s="14" t="s">
        <v>17</v>
      </c>
      <c r="D23" s="2">
        <v>11694</v>
      </c>
      <c r="F23" s="2">
        <v>6609</v>
      </c>
      <c r="G23" s="5"/>
      <c r="H23" s="6"/>
      <c r="K23" s="4"/>
      <c r="L23" s="4"/>
      <c r="M23" s="13" t="s">
        <v>18</v>
      </c>
      <c r="N23" s="11"/>
    </row>
    <row r="24" spans="1:14" ht="15" x14ac:dyDescent="0.25">
      <c r="A24" s="14"/>
      <c r="D24" s="15"/>
      <c r="F24" s="15"/>
      <c r="G24" s="5"/>
      <c r="H24" s="6"/>
      <c r="K24" s="4"/>
      <c r="L24" s="16" t="str">
        <f>IF(F23&gt;(2*F13),"YES","NO")</f>
        <v>NO</v>
      </c>
      <c r="M24" s="17" t="str">
        <f>IF(F23&gt;(2*F13),"EXPLANATION REQUIRED ON RESERVES TAB AS TO WHY CARRY FORWARD RESERVES ARE GREATER THAN TWICE INCOME FROM LOCAL TAXATION/LEVIES"," ")</f>
        <v xml:space="preserve"> </v>
      </c>
      <c r="N24" s="11"/>
    </row>
    <row r="25" spans="1:14" ht="15" thickBot="1" x14ac:dyDescent="0.25">
      <c r="D25" s="5"/>
      <c r="F25" s="5"/>
      <c r="G25" s="5"/>
      <c r="H25" s="6"/>
      <c r="K25" s="4"/>
      <c r="L25" s="4"/>
      <c r="N25" s="11"/>
    </row>
    <row r="26" spans="1:14" ht="20.100000000000001" customHeight="1" thickBot="1" x14ac:dyDescent="0.25">
      <c r="A26" s="115" t="s">
        <v>19</v>
      </c>
      <c r="B26" s="115"/>
      <c r="C26" s="115"/>
      <c r="D26" s="7">
        <v>11694</v>
      </c>
      <c r="F26" s="7">
        <v>6609</v>
      </c>
      <c r="G26" s="5"/>
      <c r="H26" s="6"/>
      <c r="K26" s="4"/>
      <c r="L26" s="4"/>
      <c r="M26" s="13" t="s">
        <v>18</v>
      </c>
      <c r="N26" s="11"/>
    </row>
    <row r="27" spans="1:14" ht="15" thickBot="1" x14ac:dyDescent="0.25">
      <c r="D27" s="5"/>
      <c r="F27" s="5"/>
      <c r="G27" s="5"/>
      <c r="H27" s="6"/>
      <c r="K27" s="4"/>
      <c r="L27" s="4"/>
      <c r="N27" s="11"/>
    </row>
    <row r="28" spans="1:14" ht="20.100000000000001" customHeight="1" thickBot="1" x14ac:dyDescent="0.25">
      <c r="A28" s="115" t="s">
        <v>20</v>
      </c>
      <c r="B28" s="115"/>
      <c r="C28" s="115"/>
      <c r="D28" s="7">
        <v>1134898</v>
      </c>
      <c r="F28" s="7">
        <v>1138433</v>
      </c>
      <c r="G28" s="5">
        <f>F28-D28</f>
        <v>3535</v>
      </c>
      <c r="H28" s="6">
        <f>IF((D28&gt;F28),(D28-F28)/D28,IF(D28&lt;F28,-(D28-F28)/D28,IF(D28=F28,0)))</f>
        <v>3.1148173668470646E-3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9" t="str">
        <f>IF((L28="YES")*AND(I28+J28&lt;1),"Explanation not required, difference less than £200"," ")</f>
        <v xml:space="preserve"> </v>
      </c>
      <c r="N28" s="12"/>
    </row>
    <row r="29" spans="1:14" ht="15" thickBot="1" x14ac:dyDescent="0.25">
      <c r="D29" s="5"/>
      <c r="F29" s="5"/>
      <c r="G29" s="5"/>
      <c r="H29" s="6"/>
      <c r="K29" s="4"/>
      <c r="L29" s="4"/>
      <c r="N29" s="11"/>
    </row>
    <row r="30" spans="1:14" ht="20.100000000000001" customHeight="1" thickBot="1" x14ac:dyDescent="0.25">
      <c r="A30" s="115" t="s">
        <v>21</v>
      </c>
      <c r="B30" s="115"/>
      <c r="C30" s="115"/>
      <c r="D30" s="7">
        <v>0</v>
      </c>
      <c r="F30" s="7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9" t="str">
        <f>IF((L30="YES")*AND(I30+J30&lt;1),"Explanation not required, difference less than £200"," ")</f>
        <v xml:space="preserve"> </v>
      </c>
      <c r="N30" s="12"/>
    </row>
    <row r="31" spans="1:14" x14ac:dyDescent="0.2">
      <c r="H31" s="6"/>
      <c r="K31" s="4"/>
      <c r="L31" s="4"/>
      <c r="N31" s="11"/>
    </row>
    <row r="32" spans="1:14" ht="15" x14ac:dyDescent="0.25">
      <c r="C32" s="10" t="s">
        <v>22</v>
      </c>
    </row>
    <row r="33" spans="3:14" ht="15" customHeight="1" x14ac:dyDescent="0.2"/>
    <row r="34" spans="3:14" ht="15" x14ac:dyDescent="0.25">
      <c r="C34" s="10" t="s">
        <v>23</v>
      </c>
      <c r="N34" s="18"/>
    </row>
    <row r="36" spans="3:14" ht="15" x14ac:dyDescent="0.25">
      <c r="C36" s="10" t="s">
        <v>24</v>
      </c>
    </row>
  </sheetData>
  <mergeCells count="11">
    <mergeCell ref="A30:C30"/>
    <mergeCell ref="A11:C11"/>
    <mergeCell ref="A13:C13"/>
    <mergeCell ref="A15:C15"/>
    <mergeCell ref="A17:C17"/>
    <mergeCell ref="A28:C28"/>
    <mergeCell ref="A5:H5"/>
    <mergeCell ref="A19:C19"/>
    <mergeCell ref="A21:C21"/>
    <mergeCell ref="A1:K1"/>
    <mergeCell ref="A26:C2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8"/>
  <sheetViews>
    <sheetView workbookViewId="0">
      <selection activeCell="N12" sqref="N12"/>
    </sheetView>
  </sheetViews>
  <sheetFormatPr defaultRowHeight="15" x14ac:dyDescent="0.25"/>
  <cols>
    <col min="2" max="2" width="21.7109375" customWidth="1"/>
  </cols>
  <sheetData>
    <row r="1" spans="1:6" ht="15.75" customHeight="1" x14ac:dyDescent="0.3">
      <c r="A1" s="23" t="s">
        <v>25</v>
      </c>
    </row>
    <row r="2" spans="1:6" ht="15.75" customHeight="1" x14ac:dyDescent="0.25">
      <c r="A2" t="s">
        <v>26</v>
      </c>
    </row>
    <row r="3" spans="1:6" x14ac:dyDescent="0.25">
      <c r="A3" t="s">
        <v>27</v>
      </c>
    </row>
    <row r="5" spans="1:6" x14ac:dyDescent="0.25">
      <c r="D5" s="22" t="s">
        <v>9</v>
      </c>
      <c r="E5" s="22" t="s">
        <v>9</v>
      </c>
      <c r="F5" s="22" t="s">
        <v>9</v>
      </c>
    </row>
    <row r="6" spans="1:6" x14ac:dyDescent="0.25">
      <c r="A6" s="22" t="s">
        <v>28</v>
      </c>
    </row>
    <row r="7" spans="1:6" x14ac:dyDescent="0.25">
      <c r="B7" s="25" t="s">
        <v>29</v>
      </c>
      <c r="D7" s="25"/>
    </row>
    <row r="8" spans="1:6" ht="15" customHeight="1" x14ac:dyDescent="0.25">
      <c r="B8" s="25"/>
      <c r="D8" s="25"/>
    </row>
    <row r="9" spans="1:6" x14ac:dyDescent="0.25">
      <c r="B9" s="25"/>
      <c r="D9" s="25"/>
    </row>
    <row r="10" spans="1:6" x14ac:dyDescent="0.25">
      <c r="B10" s="25"/>
      <c r="D10" s="25"/>
    </row>
    <row r="11" spans="1:6" x14ac:dyDescent="0.25">
      <c r="B11" s="25"/>
      <c r="D11" s="25"/>
    </row>
    <row r="12" spans="1:6" x14ac:dyDescent="0.25">
      <c r="B12" s="25"/>
      <c r="D12" s="25"/>
    </row>
    <row r="13" spans="1:6" x14ac:dyDescent="0.25">
      <c r="B13" s="25"/>
      <c r="D13" s="25"/>
    </row>
    <row r="14" spans="1:6" x14ac:dyDescent="0.25">
      <c r="E14" s="24">
        <f>SUM(D7:D13)</f>
        <v>0</v>
      </c>
    </row>
    <row r="16" spans="1:6" x14ac:dyDescent="0.25">
      <c r="A16" s="22" t="s">
        <v>30</v>
      </c>
      <c r="D16" s="25"/>
    </row>
    <row r="17" spans="1:6" x14ac:dyDescent="0.25">
      <c r="E17" s="24">
        <f>D16</f>
        <v>0</v>
      </c>
    </row>
    <row r="18" spans="1:6" ht="15.75" thickBot="1" x14ac:dyDescent="0.3">
      <c r="A18" s="22" t="s">
        <v>31</v>
      </c>
      <c r="F18" s="26">
        <f>E14+E17</f>
        <v>0</v>
      </c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FC3A-028F-4D81-841C-065C325931FE}">
  <dimension ref="A1:H39"/>
  <sheetViews>
    <sheetView workbookViewId="0">
      <selection activeCell="B4" sqref="B4"/>
    </sheetView>
  </sheetViews>
  <sheetFormatPr defaultRowHeight="15" x14ac:dyDescent="0.25"/>
  <cols>
    <col min="1" max="1" width="53.28515625" style="44" customWidth="1"/>
    <col min="8" max="8" width="29.28515625" customWidth="1"/>
  </cols>
  <sheetData>
    <row r="1" spans="1:8" ht="15.75" thickBot="1" x14ac:dyDescent="0.3">
      <c r="A1" s="44" t="s">
        <v>91</v>
      </c>
      <c r="D1" t="s">
        <v>33</v>
      </c>
      <c r="H1" s="42"/>
    </row>
    <row r="2" spans="1:8" ht="15.75" thickBot="1" x14ac:dyDescent="0.3">
      <c r="C2" t="s">
        <v>32</v>
      </c>
      <c r="E2" t="s">
        <v>46</v>
      </c>
    </row>
    <row r="3" spans="1:8" ht="15.75" thickBot="1" x14ac:dyDescent="0.3">
      <c r="A3" s="7" t="s">
        <v>38</v>
      </c>
      <c r="B3" s="32"/>
      <c r="C3" s="7">
        <v>82810</v>
      </c>
      <c r="D3" s="3"/>
      <c r="E3" s="7">
        <v>95580</v>
      </c>
      <c r="F3" s="43">
        <f>E3-C3</f>
        <v>12770</v>
      </c>
    </row>
    <row r="6" spans="1:8" x14ac:dyDescent="0.25">
      <c r="A6" s="44" t="s">
        <v>39</v>
      </c>
    </row>
    <row r="7" spans="1:8" x14ac:dyDescent="0.25">
      <c r="A7" s="51" t="s">
        <v>40</v>
      </c>
    </row>
    <row r="9" spans="1:8" x14ac:dyDescent="0.25">
      <c r="A9" s="52"/>
      <c r="B9" s="52"/>
      <c r="C9" s="52"/>
      <c r="D9" s="52"/>
      <c r="E9" s="52"/>
      <c r="F9" s="52"/>
      <c r="G9" s="52"/>
      <c r="H9" s="52"/>
    </row>
    <row r="10" spans="1:8" x14ac:dyDescent="0.25">
      <c r="A10" s="53" t="s">
        <v>32</v>
      </c>
      <c r="B10" s="52"/>
      <c r="C10" s="52"/>
      <c r="D10" s="52"/>
      <c r="E10" s="52"/>
      <c r="F10" s="52"/>
      <c r="G10" s="52"/>
      <c r="H10" s="52"/>
    </row>
    <row r="11" spans="1:8" ht="42.75" x14ac:dyDescent="0.25">
      <c r="A11" s="54" t="s">
        <v>41</v>
      </c>
      <c r="B11" s="55" t="s">
        <v>42</v>
      </c>
      <c r="C11" s="55" t="s">
        <v>43</v>
      </c>
      <c r="D11" s="55" t="s">
        <v>44</v>
      </c>
      <c r="G11" s="56"/>
      <c r="H11" s="51"/>
    </row>
    <row r="12" spans="1:8" x14ac:dyDescent="0.25">
      <c r="A12" s="57"/>
      <c r="B12" s="58"/>
      <c r="C12" s="59"/>
      <c r="D12" s="60"/>
      <c r="G12" s="52"/>
      <c r="H12" s="52"/>
    </row>
    <row r="13" spans="1:8" x14ac:dyDescent="0.25">
      <c r="A13" s="61" t="s">
        <v>45</v>
      </c>
      <c r="B13" s="62">
        <v>82810</v>
      </c>
      <c r="C13" s="63">
        <v>762.4</v>
      </c>
      <c r="D13" s="64">
        <f>ROUND(SUM(B13/C13),2)</f>
        <v>108.62</v>
      </c>
      <c r="G13" s="65"/>
      <c r="H13" s="66"/>
    </row>
    <row r="14" spans="1:8" x14ac:dyDescent="0.25">
      <c r="A14" s="52"/>
      <c r="B14" s="52"/>
      <c r="C14" s="52"/>
      <c r="D14" s="52"/>
      <c r="E14" s="52"/>
      <c r="F14" s="52"/>
      <c r="G14" s="52"/>
      <c r="H14" s="52"/>
    </row>
    <row r="15" spans="1:8" x14ac:dyDescent="0.25">
      <c r="A15" s="53" t="s">
        <v>46</v>
      </c>
      <c r="B15" s="52"/>
      <c r="C15" s="52"/>
      <c r="D15" s="52"/>
      <c r="E15" s="52"/>
      <c r="F15" s="52"/>
      <c r="G15" s="52"/>
      <c r="H15" s="52"/>
    </row>
    <row r="16" spans="1:8" ht="42.75" x14ac:dyDescent="0.25">
      <c r="A16" s="54" t="s">
        <v>41</v>
      </c>
      <c r="B16" s="55" t="s">
        <v>42</v>
      </c>
      <c r="C16" s="55" t="s">
        <v>43</v>
      </c>
      <c r="D16" s="55">
        <v>5</v>
      </c>
      <c r="G16" s="67" t="s">
        <v>47</v>
      </c>
      <c r="H16" s="51" t="s">
        <v>48</v>
      </c>
    </row>
    <row r="18" spans="1:8" x14ac:dyDescent="0.25">
      <c r="A18" s="61" t="s">
        <v>45</v>
      </c>
      <c r="B18" s="68">
        <v>95580</v>
      </c>
      <c r="C18" s="63">
        <v>765.19</v>
      </c>
      <c r="D18" s="69">
        <f>ROUND(SUM(B18/C18),2)</f>
        <v>124.91</v>
      </c>
      <c r="G18" s="65">
        <v>108.62</v>
      </c>
      <c r="H18" s="70">
        <f>(D18-G18)/ABS(G18)*100</f>
        <v>14.997238077702072</v>
      </c>
    </row>
    <row r="19" spans="1:8" x14ac:dyDescent="0.25">
      <c r="A19" s="52"/>
      <c r="B19" s="52"/>
      <c r="C19" s="52"/>
      <c r="D19" s="52"/>
      <c r="E19" s="52"/>
      <c r="F19" s="52"/>
      <c r="G19" s="52"/>
      <c r="H19" s="52"/>
    </row>
    <row r="20" spans="1:8" x14ac:dyDescent="0.25">
      <c r="A20" s="71" t="s">
        <v>49</v>
      </c>
      <c r="B20" s="71"/>
      <c r="C20" s="71"/>
      <c r="D20" s="52"/>
      <c r="E20" s="52"/>
      <c r="F20" s="52"/>
      <c r="G20" s="52"/>
      <c r="H20" s="52"/>
    </row>
    <row r="21" spans="1:8" x14ac:dyDescent="0.25">
      <c r="A21" s="52"/>
      <c r="B21" s="52"/>
      <c r="C21" s="52"/>
      <c r="D21" s="52"/>
      <c r="E21" s="52"/>
      <c r="F21" s="52"/>
      <c r="G21" s="52"/>
      <c r="H21" s="52"/>
    </row>
    <row r="22" spans="1:8" x14ac:dyDescent="0.25">
      <c r="A22" s="72" t="s">
        <v>50</v>
      </c>
      <c r="B22" s="52"/>
      <c r="C22" s="52"/>
      <c r="D22" s="52"/>
      <c r="E22" s="52"/>
      <c r="F22" s="52"/>
      <c r="G22" s="52"/>
      <c r="H22" s="52"/>
    </row>
    <row r="23" spans="1:8" x14ac:dyDescent="0.25">
      <c r="A23" s="52"/>
      <c r="B23" s="52"/>
      <c r="C23" s="52"/>
      <c r="D23" s="52"/>
      <c r="E23" s="52"/>
      <c r="F23" s="52"/>
      <c r="G23" s="52"/>
      <c r="H23" s="52"/>
    </row>
    <row r="24" spans="1:8" x14ac:dyDescent="0.25">
      <c r="A24" s="52" t="s">
        <v>51</v>
      </c>
      <c r="B24" s="52"/>
      <c r="C24" s="52"/>
      <c r="D24" s="52"/>
      <c r="E24" s="52"/>
      <c r="F24" s="52"/>
      <c r="G24" s="52"/>
      <c r="H24" s="52"/>
    </row>
    <row r="25" spans="1:8" x14ac:dyDescent="0.25">
      <c r="A25" s="52" t="s">
        <v>52</v>
      </c>
      <c r="B25" s="52"/>
      <c r="C25" s="52"/>
      <c r="D25" s="52"/>
      <c r="E25" s="52"/>
      <c r="F25" s="52"/>
      <c r="G25" s="52"/>
      <c r="H25" s="52"/>
    </row>
    <row r="26" spans="1:8" x14ac:dyDescent="0.25">
      <c r="A26" s="52" t="s">
        <v>53</v>
      </c>
      <c r="B26" s="52"/>
      <c r="C26" s="52"/>
      <c r="D26" s="52"/>
      <c r="E26" s="52"/>
      <c r="F26" s="52"/>
      <c r="G26" s="52"/>
      <c r="H26" s="52"/>
    </row>
    <row r="27" spans="1:8" x14ac:dyDescent="0.25">
      <c r="A27" s="52"/>
      <c r="B27" s="52"/>
      <c r="C27" s="52"/>
      <c r="D27" s="52"/>
      <c r="E27" s="52"/>
      <c r="F27" s="52"/>
      <c r="G27" s="52"/>
      <c r="H27" s="52"/>
    </row>
    <row r="28" spans="1:8" x14ac:dyDescent="0.25">
      <c r="A28" s="52"/>
      <c r="B28" s="52"/>
      <c r="C28" s="52"/>
      <c r="D28" s="52"/>
      <c r="E28" s="52"/>
      <c r="F28" s="52"/>
      <c r="G28" s="52"/>
      <c r="H28" s="52"/>
    </row>
    <row r="29" spans="1:8" x14ac:dyDescent="0.25">
      <c r="A29" s="52"/>
      <c r="B29" s="52"/>
      <c r="C29" s="52" t="s">
        <v>54</v>
      </c>
      <c r="D29" s="73">
        <f>+D18</f>
        <v>124.91</v>
      </c>
      <c r="E29" s="52" t="s">
        <v>55</v>
      </c>
      <c r="F29" s="52"/>
      <c r="G29" s="52"/>
      <c r="H29" s="52"/>
    </row>
    <row r="30" spans="1:8" x14ac:dyDescent="0.25">
      <c r="A30" s="52"/>
      <c r="B30" s="52"/>
      <c r="C30" s="52"/>
      <c r="D30" s="52"/>
      <c r="E30" s="52"/>
      <c r="F30" s="52"/>
      <c r="G30" s="52"/>
      <c r="H30" s="52"/>
    </row>
    <row r="31" spans="1:8" x14ac:dyDescent="0.25">
      <c r="A31" s="74" t="s">
        <v>56</v>
      </c>
      <c r="B31" s="52" t="s">
        <v>57</v>
      </c>
      <c r="C31" s="75">
        <f>+D29*5/9</f>
        <v>69.394444444444446</v>
      </c>
      <c r="D31" s="52"/>
      <c r="E31" s="52"/>
      <c r="F31" s="52"/>
      <c r="G31" s="52"/>
      <c r="H31" s="52"/>
    </row>
    <row r="32" spans="1:8" x14ac:dyDescent="0.25">
      <c r="A32" s="52"/>
      <c r="B32" s="52" t="s">
        <v>58</v>
      </c>
      <c r="C32" s="75">
        <f>+D29*6/9</f>
        <v>83.273333333333341</v>
      </c>
      <c r="D32" s="52"/>
      <c r="E32" s="52"/>
      <c r="F32" s="52"/>
      <c r="G32" s="52"/>
      <c r="H32" s="52"/>
    </row>
    <row r="33" spans="1:3" x14ac:dyDescent="0.25">
      <c r="A33" s="52"/>
      <c r="B33" s="52" t="s">
        <v>59</v>
      </c>
      <c r="C33" s="75">
        <f>+D29*7/9</f>
        <v>97.152222222222221</v>
      </c>
    </row>
    <row r="34" spans="1:3" x14ac:dyDescent="0.25">
      <c r="A34" s="52"/>
      <c r="B34" s="52" t="s">
        <v>60</v>
      </c>
      <c r="C34" s="75">
        <f>+D29*8/9</f>
        <v>111.0311111111111</v>
      </c>
    </row>
    <row r="35" spans="1:3" x14ac:dyDescent="0.25">
      <c r="A35" s="52"/>
      <c r="B35" s="52" t="s">
        <v>61</v>
      </c>
      <c r="C35" s="73">
        <f>+D29</f>
        <v>124.91</v>
      </c>
    </row>
    <row r="36" spans="1:3" x14ac:dyDescent="0.25">
      <c r="A36" s="52"/>
      <c r="B36" s="52" t="s">
        <v>62</v>
      </c>
      <c r="C36" s="75">
        <f>+D29*11/9</f>
        <v>152.66777777777779</v>
      </c>
    </row>
    <row r="37" spans="1:3" x14ac:dyDescent="0.25">
      <c r="A37" s="52"/>
      <c r="B37" s="52" t="s">
        <v>63</v>
      </c>
      <c r="C37" s="75">
        <f>+D29*13/9</f>
        <v>180.42555555555555</v>
      </c>
    </row>
    <row r="38" spans="1:3" x14ac:dyDescent="0.25">
      <c r="A38" s="52"/>
      <c r="B38" s="52" t="s">
        <v>64</v>
      </c>
      <c r="C38" s="75">
        <f>+D29*15/9</f>
        <v>208.18333333333331</v>
      </c>
    </row>
    <row r="39" spans="1:3" x14ac:dyDescent="0.25">
      <c r="A39" s="52"/>
      <c r="B39" s="52" t="s">
        <v>65</v>
      </c>
      <c r="C39" s="75">
        <f>+D29*18/9</f>
        <v>249.82000000000002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workbookViewId="0">
      <selection activeCell="E2" sqref="E2"/>
    </sheetView>
  </sheetViews>
  <sheetFormatPr defaultColWidth="18.85546875" defaultRowHeight="36" customHeight="1" x14ac:dyDescent="0.25"/>
  <cols>
    <col min="1" max="1" width="24.85546875" style="49" customWidth="1"/>
    <col min="2" max="2" width="19" style="94" customWidth="1"/>
    <col min="3" max="3" width="55.28515625" style="79" customWidth="1"/>
    <col min="4" max="4" width="10.28515625" customWidth="1"/>
    <col min="5" max="5" width="15.7109375" style="49" customWidth="1"/>
    <col min="6" max="6" width="47.28515625" customWidth="1"/>
    <col min="7" max="7" width="0" hidden="1" customWidth="1"/>
  </cols>
  <sheetData>
    <row r="1" spans="1:7" ht="36" customHeight="1" thickBot="1" x14ac:dyDescent="0.3">
      <c r="C1" s="79" t="s">
        <v>92</v>
      </c>
      <c r="E1" s="49" t="s">
        <v>46</v>
      </c>
      <c r="F1" s="49" t="s">
        <v>69</v>
      </c>
    </row>
    <row r="2" spans="1:7" s="99" customFormat="1" ht="36" customHeight="1" thickBot="1" x14ac:dyDescent="0.3">
      <c r="A2" s="93" t="s">
        <v>67</v>
      </c>
      <c r="B2" s="93"/>
      <c r="C2" s="96">
        <v>22792</v>
      </c>
      <c r="D2" s="97"/>
      <c r="E2" s="98">
        <v>46645</v>
      </c>
      <c r="F2" s="97">
        <f>E2-C2</f>
        <v>23853</v>
      </c>
      <c r="G2" s="97">
        <f>F2-D2</f>
        <v>23853</v>
      </c>
    </row>
    <row r="3" spans="1:7" ht="36" customHeight="1" x14ac:dyDescent="0.25">
      <c r="A3" s="88" t="s">
        <v>68</v>
      </c>
      <c r="B3" s="102">
        <v>45384</v>
      </c>
      <c r="C3" s="77" t="s">
        <v>75</v>
      </c>
      <c r="D3" s="39">
        <v>20000</v>
      </c>
      <c r="E3" s="85"/>
      <c r="F3" s="112"/>
    </row>
    <row r="4" spans="1:7" s="34" customFormat="1" ht="49.5" customHeight="1" x14ac:dyDescent="0.25">
      <c r="A4" s="103">
        <v>45499</v>
      </c>
      <c r="B4" s="104" t="s">
        <v>66</v>
      </c>
      <c r="C4" s="40" t="s">
        <v>76</v>
      </c>
      <c r="D4" s="101">
        <v>425</v>
      </c>
      <c r="E4" s="105"/>
      <c r="F4" s="84"/>
    </row>
    <row r="5" spans="1:7" ht="51.75" customHeight="1" x14ac:dyDescent="0.25">
      <c r="A5" s="103" t="s">
        <v>73</v>
      </c>
      <c r="B5" s="104" t="s">
        <v>66</v>
      </c>
      <c r="C5" s="77" t="s">
        <v>72</v>
      </c>
      <c r="D5" s="39">
        <v>1950</v>
      </c>
      <c r="E5" s="88"/>
      <c r="F5" s="41"/>
      <c r="G5" s="34">
        <v>32342.95</v>
      </c>
    </row>
    <row r="6" spans="1:7" ht="51.75" customHeight="1" x14ac:dyDescent="0.25">
      <c r="A6" s="103" t="s">
        <v>74</v>
      </c>
      <c r="B6" s="104" t="s">
        <v>70</v>
      </c>
      <c r="C6" s="77" t="s">
        <v>71</v>
      </c>
      <c r="D6" s="39">
        <v>1250</v>
      </c>
      <c r="E6" s="88"/>
      <c r="F6" s="41"/>
      <c r="G6" s="34"/>
    </row>
    <row r="7" spans="1:7" ht="36" customHeight="1" x14ac:dyDescent="0.25">
      <c r="A7" s="49" t="s">
        <v>89</v>
      </c>
      <c r="D7" s="39">
        <v>278</v>
      </c>
    </row>
    <row r="8" spans="1:7" ht="36" customHeight="1" x14ac:dyDescent="0.25">
      <c r="A8" s="89"/>
      <c r="B8" s="36"/>
      <c r="C8" s="78"/>
      <c r="D8" s="100">
        <f>SUM(D3:D7)</f>
        <v>23903</v>
      </c>
      <c r="E8" s="82"/>
      <c r="F8" s="100"/>
      <c r="G8" s="34">
        <v>24544.57</v>
      </c>
    </row>
    <row r="9" spans="1:7" ht="36" customHeight="1" x14ac:dyDescent="0.25">
      <c r="A9" s="89"/>
      <c r="B9" s="36"/>
      <c r="E9" s="82"/>
      <c r="F9" s="34"/>
      <c r="G9" s="34"/>
    </row>
    <row r="10" spans="1:7" s="22" customFormat="1" ht="36" customHeight="1" x14ac:dyDescent="0.25">
      <c r="F10" s="82"/>
      <c r="G10" s="34"/>
    </row>
    <row r="11" spans="1:7" ht="36" customHeight="1" x14ac:dyDescent="0.25">
      <c r="F11" s="83"/>
      <c r="G11" s="91">
        <v>800</v>
      </c>
    </row>
    <row r="12" spans="1:7" ht="51.75" customHeight="1" x14ac:dyDescent="0.25">
      <c r="F12" s="41"/>
      <c r="G12" s="34"/>
    </row>
    <row r="13" spans="1:7" ht="36" customHeight="1" x14ac:dyDescent="0.25">
      <c r="F13" s="34"/>
      <c r="G13" s="34">
        <v>10956.98</v>
      </c>
    </row>
    <row r="14" spans="1:7" ht="36" customHeight="1" x14ac:dyDescent="0.25">
      <c r="A14" s="89"/>
      <c r="B14" s="36"/>
      <c r="C14" s="80"/>
      <c r="D14" s="34"/>
      <c r="E14" s="82"/>
      <c r="F14" s="34"/>
      <c r="G14" s="34">
        <v>33565.1</v>
      </c>
    </row>
    <row r="15" spans="1:7" ht="36" customHeight="1" x14ac:dyDescent="0.25">
      <c r="A15" s="89"/>
      <c r="B15" s="36"/>
      <c r="C15" s="81"/>
      <c r="D15" s="38"/>
      <c r="E15" s="87"/>
      <c r="F15" s="37">
        <f>E16</f>
        <v>0</v>
      </c>
      <c r="G15" s="34">
        <v>27582.36</v>
      </c>
    </row>
    <row r="16" spans="1:7" ht="36" customHeight="1" x14ac:dyDescent="0.25">
      <c r="A16" s="90"/>
      <c r="B16" s="95"/>
      <c r="D16" s="34"/>
      <c r="E16" s="86"/>
      <c r="F16" s="35"/>
      <c r="G16" s="34">
        <v>18526.64</v>
      </c>
    </row>
    <row r="17" spans="6:7" ht="36" customHeight="1" x14ac:dyDescent="0.25">
      <c r="F17" s="34"/>
      <c r="G17" s="34">
        <v>14388.47</v>
      </c>
    </row>
    <row r="18" spans="6:7" ht="36" customHeight="1" x14ac:dyDescent="0.25">
      <c r="G18" s="35" t="s">
        <v>34</v>
      </c>
    </row>
    <row r="19" spans="6:7" ht="36" customHeight="1" x14ac:dyDescent="0.25">
      <c r="G19" s="37">
        <f>SUM(G5:G18)</f>
        <v>162707.07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CC98-15ED-426F-804A-C63268E3EFEB}">
  <dimension ref="A1:I15"/>
  <sheetViews>
    <sheetView workbookViewId="0">
      <selection sqref="A1:F11"/>
    </sheetView>
  </sheetViews>
  <sheetFormatPr defaultRowHeight="15.75" x14ac:dyDescent="0.25"/>
  <cols>
    <col min="1" max="1" width="23.5703125" style="47" customWidth="1"/>
    <col min="2" max="2" width="5.85546875" customWidth="1"/>
    <col min="3" max="3" width="20.42578125" customWidth="1"/>
    <col min="4" max="4" width="42.5703125" customWidth="1"/>
    <col min="5" max="5" width="8.7109375" customWidth="1"/>
    <col min="6" max="6" width="15.5703125" customWidth="1"/>
    <col min="7" max="7" width="23.28515625" customWidth="1"/>
    <col min="9" max="9" width="12.5703125" style="50" customWidth="1"/>
  </cols>
  <sheetData>
    <row r="1" spans="1:9" ht="16.5" thickBot="1" x14ac:dyDescent="0.3">
      <c r="D1" t="s">
        <v>32</v>
      </c>
      <c r="E1" t="s">
        <v>46</v>
      </c>
      <c r="F1" t="s">
        <v>37</v>
      </c>
    </row>
    <row r="2" spans="1:9" ht="16.5" thickBot="1" x14ac:dyDescent="0.3">
      <c r="A2" s="48" t="s">
        <v>36</v>
      </c>
      <c r="B2" s="45"/>
      <c r="C2" s="7"/>
      <c r="D2" s="7">
        <v>67486</v>
      </c>
      <c r="E2" s="46">
        <v>92731</v>
      </c>
      <c r="F2" s="43">
        <f>E2-D2</f>
        <v>25245</v>
      </c>
      <c r="H2" s="50"/>
      <c r="I2"/>
    </row>
    <row r="4" spans="1:9" x14ac:dyDescent="0.25">
      <c r="A4" s="88" t="s">
        <v>68</v>
      </c>
      <c r="B4" s="22"/>
      <c r="C4" s="22"/>
      <c r="D4" s="22"/>
      <c r="F4" s="22" t="s">
        <v>35</v>
      </c>
    </row>
    <row r="5" spans="1:9" s="39" customFormat="1" ht="45" x14ac:dyDescent="0.25">
      <c r="A5" s="103">
        <v>45384</v>
      </c>
      <c r="B5" s="39" t="s">
        <v>77</v>
      </c>
      <c r="C5" s="77" t="s">
        <v>84</v>
      </c>
      <c r="D5" s="40" t="s">
        <v>85</v>
      </c>
      <c r="F5" s="105">
        <v>-20000</v>
      </c>
    </row>
    <row r="6" spans="1:9" s="39" customFormat="1" ht="60" x14ac:dyDescent="0.25">
      <c r="A6" s="107">
        <v>45460</v>
      </c>
      <c r="B6" s="39" t="s">
        <v>77</v>
      </c>
      <c r="C6" s="40" t="s">
        <v>78</v>
      </c>
      <c r="D6" s="40" t="s">
        <v>83</v>
      </c>
      <c r="E6" s="108"/>
      <c r="F6" s="39">
        <v>-3598.25</v>
      </c>
    </row>
    <row r="8" spans="1:9" s="39" customFormat="1" ht="60" x14ac:dyDescent="0.25">
      <c r="A8" s="107">
        <v>45698</v>
      </c>
      <c r="B8" s="39" t="s">
        <v>77</v>
      </c>
      <c r="C8" s="40" t="s">
        <v>79</v>
      </c>
      <c r="D8" s="40" t="s">
        <v>81</v>
      </c>
      <c r="E8" s="92"/>
      <c r="F8" s="105">
        <v>-599.4</v>
      </c>
    </row>
    <row r="9" spans="1:9" s="110" customFormat="1" ht="60" x14ac:dyDescent="0.25">
      <c r="A9" s="107">
        <v>45698</v>
      </c>
      <c r="B9" s="39" t="s">
        <v>77</v>
      </c>
      <c r="C9" s="40" t="s">
        <v>80</v>
      </c>
      <c r="D9" s="40" t="s">
        <v>82</v>
      </c>
      <c r="E9" s="92"/>
      <c r="F9" s="105">
        <v>-717.92</v>
      </c>
    </row>
    <row r="11" spans="1:9" s="39" customFormat="1" ht="15" x14ac:dyDescent="0.25">
      <c r="A11" s="40"/>
      <c r="F11" s="111">
        <f ca="1">SUM(F5:F14)</f>
        <v>-25991.97</v>
      </c>
    </row>
    <row r="12" spans="1:9" s="39" customFormat="1" ht="30.75" customHeight="1" x14ac:dyDescent="0.25">
      <c r="A12" s="34"/>
      <c r="B12" s="34"/>
      <c r="C12" s="34"/>
      <c r="D12" s="34"/>
      <c r="E12" s="106"/>
      <c r="F12" s="82"/>
    </row>
    <row r="13" spans="1:9" s="39" customFormat="1" ht="15" x14ac:dyDescent="0.25">
      <c r="A13" s="107"/>
      <c r="C13" s="40"/>
      <c r="D13" s="40"/>
      <c r="E13" s="109"/>
      <c r="F13" s="76"/>
    </row>
    <row r="14" spans="1:9" s="39" customFormat="1" ht="15" x14ac:dyDescent="0.25">
      <c r="A14" s="107"/>
      <c r="C14" s="40"/>
      <c r="D14" s="40"/>
      <c r="E14" s="92"/>
      <c r="F14" s="105"/>
    </row>
    <row r="15" spans="1:9" s="39" customFormat="1" ht="15" x14ac:dyDescent="0.25">
      <c r="A15" s="40"/>
      <c r="E15" s="39" t="s">
        <v>86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Variances</vt:lpstr>
      <vt:lpstr>Reserves</vt:lpstr>
      <vt:lpstr>Box 2 Variance</vt:lpstr>
      <vt:lpstr>Box 3 Variance</vt:lpstr>
      <vt:lpstr>Box 6 Varience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Helen Weekes</cp:lastModifiedBy>
  <cp:revision/>
  <cp:lastPrinted>2025-06-08T15:26:29Z</cp:lastPrinted>
  <dcterms:created xsi:type="dcterms:W3CDTF">2012-07-11T10:01:28Z</dcterms:created>
  <dcterms:modified xsi:type="dcterms:W3CDTF">2025-06-17T11:46:16Z</dcterms:modified>
  <cp:category/>
  <cp:contentStatus/>
</cp:coreProperties>
</file>